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laura/Desktop/Neuer Ordner mit Objekten/"/>
    </mc:Choice>
  </mc:AlternateContent>
  <xr:revisionPtr revIDLastSave="0" documentId="8_{710E8DA3-0D04-8944-8BBE-0144349100BB}" xr6:coauthVersionLast="47" xr6:coauthVersionMax="47" xr10:uidLastSave="{00000000-0000-0000-0000-000000000000}"/>
  <bookViews>
    <workbookView xWindow="15760" yWindow="500" windowWidth="29040" windowHeight="15840" xr2:uid="{6BA3AC66-A32D-4999-A929-EAB88B820211}"/>
  </bookViews>
  <sheets>
    <sheet name="Tabelle1" sheetId="1" r:id="rId1"/>
    <sheet name="Tabelle2" sheetId="2" r:id="rId2"/>
  </sheets>
  <definedNames>
    <definedName name="_xlnm.Print_Area" localSheetId="0">Tabelle1!$A$1:$G$76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 i="1" l="1"/>
  <c r="B12" i="1"/>
  <c r="E67" i="1"/>
  <c r="B32" i="1"/>
  <c r="B35" i="1"/>
  <c r="B64" i="1"/>
  <c r="B65" i="1"/>
  <c r="D54" i="1"/>
  <c r="B54" i="1"/>
  <c r="D47" i="1"/>
  <c r="D55" i="1"/>
  <c r="D32" i="1"/>
  <c r="D64" i="1"/>
  <c r="D65" i="1"/>
  <c r="B47" i="1"/>
  <c r="B55" i="1"/>
  <c r="D39" i="1"/>
  <c r="D33" i="1"/>
  <c r="B39" i="1"/>
  <c r="B66" i="1"/>
  <c r="B36" i="1"/>
  <c r="B46" i="1"/>
  <c r="D66" i="1"/>
  <c r="D67" i="1"/>
  <c r="B17" i="1"/>
  <c r="B16" i="1"/>
  <c r="B33" i="1"/>
  <c r="D35" i="1"/>
  <c r="B67" i="1"/>
  <c r="B68" i="1"/>
  <c r="D68" i="1"/>
  <c r="D34" i="1"/>
  <c r="D36" i="1"/>
  <c r="D40" i="1"/>
  <c r="D41" i="1"/>
  <c r="D46" i="1"/>
  <c r="B5" i="1"/>
  <c r="D45" i="1"/>
  <c r="D48" i="1"/>
  <c r="D49" i="1"/>
  <c r="D57" i="1"/>
  <c r="D53" i="1"/>
  <c r="D56" i="1"/>
  <c r="B34" i="1"/>
  <c r="B40" i="1"/>
  <c r="B41" i="1"/>
  <c r="E41" i="1"/>
  <c r="B45" i="1"/>
  <c r="B48" i="1"/>
  <c r="B49" i="1"/>
  <c r="B57" i="1"/>
  <c r="B53" i="1"/>
  <c r="B56" i="1"/>
  <c r="D69" i="1"/>
  <c r="D71" i="1"/>
  <c r="D73" i="1"/>
  <c r="D58" i="1"/>
  <c r="B58" i="1"/>
  <c r="B75" i="1"/>
  <c r="B69" i="1"/>
  <c r="B71" i="1"/>
  <c r="B73" i="1"/>
</calcChain>
</file>

<file path=xl/sharedStrings.xml><?xml version="1.0" encoding="utf-8"?>
<sst xmlns="http://schemas.openxmlformats.org/spreadsheetml/2006/main" count="63" uniqueCount="61">
  <si>
    <t>Musterwohnung</t>
  </si>
  <si>
    <t>Kaufpreis</t>
  </si>
  <si>
    <t>Mieteinnahme p.a.</t>
  </si>
  <si>
    <t>Annahmen für die Musterrechnung:</t>
  </si>
  <si>
    <t>Eigenkapitaleinsatz:</t>
  </si>
  <si>
    <t>Nebenkosten:</t>
  </si>
  <si>
    <t>aus Eigenmitteln</t>
  </si>
  <si>
    <t>Est-Satz:</t>
  </si>
  <si>
    <t>Eigenkapital</t>
  </si>
  <si>
    <t>Finanzierungsbedarf</t>
  </si>
  <si>
    <t>Notar und Eintragung (1,5%)</t>
  </si>
  <si>
    <r>
      <rPr>
        <b/>
        <sz val="11"/>
        <color theme="1"/>
        <rFont val="Arial"/>
        <family val="2"/>
      </rPr>
      <t>Zinslasten:</t>
    </r>
    <r>
      <rPr>
        <sz val="11"/>
        <color theme="1"/>
        <rFont val="Arial"/>
        <family val="2"/>
      </rPr>
      <t xml:space="preserve"> </t>
    </r>
    <r>
      <rPr>
        <sz val="10"/>
        <color theme="1"/>
        <rFont val="Arial"/>
        <family val="2"/>
      </rPr>
      <t>(Basis = Kaufpreis ohne NK)</t>
    </r>
  </si>
  <si>
    <r>
      <t xml:space="preserve">KfW </t>
    </r>
    <r>
      <rPr>
        <sz val="10"/>
        <color theme="1"/>
        <rFont val="Arial"/>
        <family val="2"/>
      </rPr>
      <t>(100.000,00 € pro Einheit)</t>
    </r>
  </si>
  <si>
    <t>Hausbank</t>
  </si>
  <si>
    <t>Summe Zinslast</t>
  </si>
  <si>
    <t>Erwerbskosten:</t>
  </si>
  <si>
    <t>Steuervorteil:</t>
  </si>
  <si>
    <t>Zins (= steuerlicher Aufwand)</t>
  </si>
  <si>
    <t>AfA degressiv</t>
  </si>
  <si>
    <t>Mieteinnahme</t>
  </si>
  <si>
    <t>Summe steuerlicher Verlust</t>
  </si>
  <si>
    <t>Steuerersparnis (aus pers. Est-Effekt)</t>
  </si>
  <si>
    <r>
      <rPr>
        <b/>
        <sz val="11"/>
        <color theme="1"/>
        <rFont val="Arial"/>
        <family val="2"/>
      </rPr>
      <t xml:space="preserve">Liquditätsberechnung: </t>
    </r>
    <r>
      <rPr>
        <sz val="11"/>
        <color theme="1"/>
        <rFont val="Arial"/>
        <family val="2"/>
      </rPr>
      <t>(Zahlungsflüsse)</t>
    </r>
  </si>
  <si>
    <t>Zins</t>
  </si>
  <si>
    <t>Wohngeld (Verwaltung+Rücklage)</t>
  </si>
  <si>
    <t>Miete</t>
  </si>
  <si>
    <t>+ Steuerersparnis</t>
  </si>
  <si>
    <t>Vermögensbildung p.a.</t>
  </si>
  <si>
    <r>
      <rPr>
        <b/>
        <sz val="11"/>
        <color theme="1"/>
        <rFont val="Arial"/>
        <family val="2"/>
      </rPr>
      <t>Vermögensbildung nach 10 Jahren:</t>
    </r>
    <r>
      <rPr>
        <sz val="11"/>
        <color theme="1"/>
        <rFont val="Arial"/>
        <family val="2"/>
      </rPr>
      <t xml:space="preserve"> </t>
    </r>
    <r>
      <rPr>
        <sz val="10"/>
        <color theme="1"/>
        <rFont val="Arial"/>
        <family val="2"/>
      </rPr>
      <t>(Ertragswertverfahren)</t>
    </r>
  </si>
  <si>
    <t>Afa (40,13% auf Kaufpreis abzgl. Grundstück)</t>
  </si>
  <si>
    <r>
      <t xml:space="preserve">Mietertrag nach 10 Jahren </t>
    </r>
    <r>
      <rPr>
        <sz val="10"/>
        <color theme="1"/>
        <rFont val="Arial"/>
        <family val="2"/>
      </rPr>
      <t>(mit 3 x Indexierung à 4%)</t>
    </r>
  </si>
  <si>
    <t>Differenz zu Erwerbsaufwand</t>
  </si>
  <si>
    <r>
      <t xml:space="preserve">Summe </t>
    </r>
    <r>
      <rPr>
        <b/>
        <sz val="11"/>
        <color theme="1"/>
        <rFont val="Arial"/>
        <family val="2"/>
      </rPr>
      <t>Vermögensbildung</t>
    </r>
    <r>
      <rPr>
        <sz val="11"/>
        <color theme="1"/>
        <rFont val="Arial"/>
        <family val="2"/>
      </rPr>
      <t xml:space="preserve"> nach 10 Jahren
(inkl. Wertsteigerung Immobilie)</t>
    </r>
  </si>
  <si>
    <r>
      <rPr>
        <b/>
        <sz val="11"/>
        <color theme="1"/>
        <rFont val="Arial"/>
        <family val="2"/>
      </rPr>
      <t xml:space="preserve">Achtung: </t>
    </r>
    <r>
      <rPr>
        <sz val="11"/>
        <color theme="1"/>
        <rFont val="Arial"/>
        <family val="2"/>
      </rPr>
      <t xml:space="preserve">
</t>
    </r>
    <r>
      <rPr>
        <b/>
        <sz val="11"/>
        <color theme="1"/>
        <rFont val="Arial"/>
        <family val="2"/>
      </rPr>
      <t>Die vorliegende Berechnung stellt keine steuerliche Beratung dar, sondern dient lediglich als Grundlage für die 
Entscheidungsfindung! Bitte sprechen Sie mit Ihren steuerlichen Beratern, um sicher zu gehen, dass und ob die 
getroffenen Annahmen auf Ihre steuerlichen Gegebenheiten zutreffen!</t>
    </r>
  </si>
  <si>
    <t>Appartement 42</t>
  </si>
  <si>
    <t>Wohngeld (Erfahrungswert - geringe Abweichung möglich)</t>
  </si>
  <si>
    <t>App. 41 + 42</t>
  </si>
  <si>
    <t>Überschuss aus Vermietung p.a.</t>
  </si>
  <si>
    <r>
      <t xml:space="preserve">Summe Vermietungsüberschüsse </t>
    </r>
    <r>
      <rPr>
        <sz val="10"/>
        <color theme="1"/>
        <rFont val="Arial"/>
        <family val="2"/>
      </rPr>
      <t>(10 Jahre)</t>
    </r>
  </si>
  <si>
    <t xml:space="preserve">     →</t>
  </si>
  <si>
    <t>Das wurde aus dem eingesetzten Eigenkapital</t>
  </si>
  <si>
    <t xml:space="preserve">bei EK-Einsatz von </t>
  </si>
  <si>
    <t>%</t>
  </si>
  <si>
    <t>Finanzierungs-/ Fremdkapitalanteil</t>
  </si>
  <si>
    <t>Eigenkapital (inkl. Kauf-Nebenkosten)</t>
  </si>
  <si>
    <t>Zins Hausbank (aktuelle Marktwerte, gute Bonität):</t>
  </si>
  <si>
    <r>
      <rPr>
        <b/>
        <sz val="11"/>
        <color theme="1"/>
        <rFont val="Arial"/>
        <family val="2"/>
      </rPr>
      <t>Steuerersparnis</t>
    </r>
    <r>
      <rPr>
        <sz val="11"/>
        <color theme="1"/>
        <rFont val="Arial"/>
        <family val="2"/>
      </rPr>
      <t xml:space="preserve"> (persönlicher Est-Effekt)</t>
    </r>
  </si>
  <si>
    <t>bei</t>
  </si>
  <si>
    <t>unveränderter Mietrendite</t>
  </si>
  <si>
    <t>Immobilienwert nach 10 Jahren</t>
  </si>
  <si>
    <r>
      <t xml:space="preserve">Liquiditätsüberschuss auf Jahresbasis </t>
    </r>
    <r>
      <rPr>
        <sz val="11"/>
        <color theme="1"/>
        <rFont val="Arial"/>
        <family val="2"/>
      </rPr>
      <t>(über Laufzeit 10 J.)</t>
    </r>
  </si>
  <si>
    <r>
      <rPr>
        <b/>
        <sz val="11"/>
        <rFont val="Arial"/>
        <family val="2"/>
      </rPr>
      <t>Rendite</t>
    </r>
    <r>
      <rPr>
        <sz val="11"/>
        <color theme="1"/>
        <rFont val="Arial"/>
        <family val="2"/>
      </rPr>
      <t xml:space="preserve"> </t>
    </r>
    <r>
      <rPr>
        <b/>
        <sz val="11"/>
        <color theme="1"/>
        <rFont val="Arial"/>
        <family val="2"/>
      </rPr>
      <t>auf eingesetztes Kapital p.a</t>
    </r>
    <r>
      <rPr>
        <sz val="11"/>
        <color theme="1"/>
        <rFont val="Arial"/>
        <family val="2"/>
      </rPr>
      <t xml:space="preserve">. </t>
    </r>
    <r>
      <rPr>
        <sz val="10"/>
        <color theme="1"/>
        <rFont val="Arial"/>
        <family val="2"/>
      </rPr>
      <t>(Eigenkapitalrendite)</t>
    </r>
    <r>
      <rPr>
        <sz val="11"/>
        <color theme="1"/>
        <rFont val="Arial"/>
        <family val="2"/>
      </rPr>
      <t xml:space="preserve">
(Erwerbsnebenkosten und Eigenkapital)</t>
    </r>
  </si>
  <si>
    <t>Grunderwerbsteuer</t>
  </si>
  <si>
    <t>AfA 5 % (auf Kaufpreis ohne Grundstück= 94% der Inv.summe)</t>
  </si>
  <si>
    <t>Grund-Rendite</t>
  </si>
  <si>
    <t>KfW-Zins (siehe webpage KfW - Programm 298)</t>
  </si>
  <si>
    <t>Renditeberechnung Seniorenquartier Altenmarkt</t>
  </si>
  <si>
    <t>Liquiditäts- und steuerliche Betrachtung</t>
  </si>
  <si>
    <t>Durchschnittlicher Zins</t>
  </si>
  <si>
    <t>Copyright: IEB Care V GmbH &amp; Co.KG</t>
  </si>
  <si>
    <t>grüne Felder können
 frei befüllt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</si>
</sst>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7" x14ac:knownFonts="1">
    <font>
      <sz val="11"/>
      <color theme="1"/>
      <name val="Aptos Narrow"/>
      <family val="2"/>
      <scheme val="minor"/>
    </font>
    <font>
      <b/>
      <sz val="12"/>
      <color theme="1"/>
      <name val="Arial"/>
      <family val="2"/>
    </font>
    <font>
      <sz val="11"/>
      <color theme="1"/>
      <name val="Arial"/>
      <family val="2"/>
    </font>
    <font>
      <b/>
      <sz val="11"/>
      <color theme="1"/>
      <name val="Arial"/>
      <family val="2"/>
    </font>
    <font>
      <sz val="11"/>
      <color rgb="FFFF0000"/>
      <name val="Arial"/>
      <family val="2"/>
    </font>
    <font>
      <sz val="10"/>
      <color theme="1"/>
      <name val="Arial"/>
      <family val="2"/>
    </font>
    <font>
      <b/>
      <sz val="10"/>
      <color theme="1"/>
      <name val="Arial"/>
      <family val="2"/>
    </font>
    <font>
      <sz val="11"/>
      <name val="Arial"/>
      <family val="2"/>
    </font>
    <font>
      <b/>
      <sz val="11"/>
      <name val="Arial"/>
      <family val="2"/>
    </font>
    <font>
      <sz val="11"/>
      <color rgb="FF00B050"/>
      <name val="Arial"/>
      <family val="2"/>
    </font>
    <font>
      <b/>
      <sz val="11"/>
      <color rgb="FF00B050"/>
      <name val="Arial"/>
      <family val="2"/>
    </font>
    <font>
      <b/>
      <sz val="14"/>
      <color theme="1"/>
      <name val="Arial"/>
      <family val="2"/>
    </font>
    <font>
      <b/>
      <u/>
      <sz val="14"/>
      <color theme="1"/>
      <name val="Arial"/>
      <family val="2"/>
    </font>
    <font>
      <sz val="8"/>
      <name val="Aptos Narrow"/>
      <family val="2"/>
      <scheme val="minor"/>
    </font>
    <font>
      <sz val="11"/>
      <color theme="1"/>
      <name val="Calibri"/>
      <family val="2"/>
    </font>
    <font>
      <b/>
      <u/>
      <sz val="11"/>
      <color theme="1"/>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0" xfId="0" applyFont="1"/>
    <xf numFmtId="164" fontId="2" fillId="0" borderId="0" xfId="0" applyNumberFormat="1" applyFont="1"/>
    <xf numFmtId="0" fontId="1" fillId="0" borderId="0" xfId="0" applyFont="1"/>
    <xf numFmtId="0" fontId="2" fillId="0" borderId="0" xfId="0" applyFont="1" applyAlignment="1">
      <alignment vertical="center"/>
    </xf>
    <xf numFmtId="164" fontId="3" fillId="2" borderId="1" xfId="0" applyNumberFormat="1" applyFont="1" applyFill="1" applyBorder="1"/>
    <xf numFmtId="0" fontId="3" fillId="2" borderId="0" xfId="0" applyFont="1" applyFill="1"/>
    <xf numFmtId="164" fontId="2" fillId="2" borderId="0" xfId="0" applyNumberFormat="1" applyFont="1" applyFill="1"/>
    <xf numFmtId="0" fontId="2" fillId="2" borderId="0" xfId="0" applyFont="1" applyFill="1"/>
    <xf numFmtId="0" fontId="3" fillId="0" borderId="0" xfId="0" applyFont="1"/>
    <xf numFmtId="164" fontId="3" fillId="0" borderId="0" xfId="0" applyNumberFormat="1" applyFont="1"/>
    <xf numFmtId="10" fontId="2" fillId="0" borderId="0" xfId="0" applyNumberFormat="1" applyFont="1"/>
    <xf numFmtId="0" fontId="15" fillId="0" borderId="0" xfId="0" applyFont="1"/>
    <xf numFmtId="0" fontId="3" fillId="0" borderId="0" xfId="0" applyFont="1" applyAlignment="1">
      <alignment horizontal="center"/>
    </xf>
    <xf numFmtId="10" fontId="2" fillId="0" borderId="0" xfId="0" applyNumberFormat="1" applyFont="1" applyAlignment="1">
      <alignment horizontal="center"/>
    </xf>
    <xf numFmtId="0" fontId="14" fillId="0" borderId="0" xfId="0" applyFont="1" applyAlignment="1">
      <alignment horizontal="center"/>
    </xf>
    <xf numFmtId="9" fontId="2" fillId="0" borderId="0" xfId="0" applyNumberFormat="1" applyFont="1" applyAlignment="1">
      <alignment horizontal="center"/>
    </xf>
    <xf numFmtId="9" fontId="2" fillId="0" borderId="0" xfId="0" applyNumberFormat="1" applyFont="1"/>
    <xf numFmtId="0" fontId="2" fillId="2" borderId="0" xfId="0" applyFont="1" applyFill="1" applyAlignment="1">
      <alignment horizontal="center"/>
    </xf>
    <xf numFmtId="0" fontId="3" fillId="2" borderId="2" xfId="0" applyFont="1" applyFill="1" applyBorder="1"/>
    <xf numFmtId="164" fontId="3" fillId="2" borderId="3" xfId="0" applyNumberFormat="1" applyFont="1" applyFill="1" applyBorder="1"/>
    <xf numFmtId="164" fontId="2" fillId="2" borderId="1" xfId="0" applyNumberFormat="1" applyFont="1" applyFill="1" applyBorder="1"/>
    <xf numFmtId="10" fontId="2" fillId="2" borderId="0" xfId="0" applyNumberFormat="1" applyFont="1" applyFill="1"/>
    <xf numFmtId="164" fontId="2" fillId="2" borderId="3" xfId="0" applyNumberFormat="1" applyFont="1" applyFill="1" applyBorder="1"/>
    <xf numFmtId="0" fontId="2" fillId="2" borderId="2" xfId="0" applyFont="1" applyFill="1" applyBorder="1"/>
    <xf numFmtId="10" fontId="7" fillId="2" borderId="1" xfId="0" applyNumberFormat="1" applyFont="1" applyFill="1" applyBorder="1" applyAlignment="1">
      <alignment horizontal="left"/>
    </xf>
    <xf numFmtId="164" fontId="10" fillId="2" borderId="3" xfId="0" applyNumberFormat="1" applyFont="1" applyFill="1" applyBorder="1" applyAlignment="1">
      <alignment horizontal="center"/>
    </xf>
    <xf numFmtId="164" fontId="9" fillId="2" borderId="1" xfId="0" applyNumberFormat="1" applyFont="1" applyFill="1" applyBorder="1"/>
    <xf numFmtId="164" fontId="9" fillId="2" borderId="3" xfId="0" applyNumberFormat="1" applyFont="1" applyFill="1" applyBorder="1"/>
    <xf numFmtId="0" fontId="6" fillId="2" borderId="0" xfId="0" applyFont="1" applyFill="1"/>
    <xf numFmtId="2" fontId="2" fillId="2" borderId="0" xfId="0" applyNumberFormat="1" applyFont="1" applyFill="1"/>
    <xf numFmtId="49" fontId="2" fillId="2" borderId="0" xfId="0" applyNumberFormat="1" applyFont="1" applyFill="1"/>
    <xf numFmtId="0" fontId="2" fillId="2" borderId="0" xfId="0" applyFont="1" applyFill="1" applyAlignment="1">
      <alignment horizontal="right"/>
    </xf>
    <xf numFmtId="0" fontId="2" fillId="2" borderId="0" xfId="0" applyFont="1" applyFill="1" applyAlignment="1">
      <alignment vertical="center" wrapText="1"/>
    </xf>
    <xf numFmtId="164" fontId="1" fillId="2" borderId="0" xfId="0" applyNumberFormat="1" applyFont="1" applyFill="1" applyAlignment="1">
      <alignment vertical="center"/>
    </xf>
    <xf numFmtId="0" fontId="14" fillId="2" borderId="0" xfId="0" applyFont="1" applyFill="1"/>
    <xf numFmtId="10" fontId="1" fillId="2" borderId="0" xfId="0" applyNumberFormat="1" applyFont="1" applyFill="1" applyAlignment="1">
      <alignment vertical="center"/>
    </xf>
    <xf numFmtId="164" fontId="3" fillId="2" borderId="0" xfId="0" applyNumberFormat="1" applyFont="1" applyFill="1"/>
    <xf numFmtId="0" fontId="2" fillId="0" borderId="0" xfId="0" applyFont="1" applyAlignment="1">
      <alignment horizontal="center" vertical="center" wrapText="1"/>
    </xf>
    <xf numFmtId="10" fontId="7" fillId="2" borderId="0" xfId="0" applyNumberFormat="1" applyFont="1" applyFill="1" applyAlignment="1">
      <alignment horizontal="left"/>
    </xf>
    <xf numFmtId="0" fontId="7" fillId="2" borderId="0" xfId="0" applyFont="1" applyFill="1"/>
    <xf numFmtId="164" fontId="7" fillId="2" borderId="0" xfId="0" applyNumberFormat="1" applyFont="1" applyFill="1"/>
    <xf numFmtId="164" fontId="8" fillId="2" borderId="3" xfId="0" applyNumberFormat="1" applyFont="1" applyFill="1" applyBorder="1"/>
    <xf numFmtId="0" fontId="7" fillId="2" borderId="2" xfId="0" applyFont="1" applyFill="1" applyBorder="1" applyAlignment="1">
      <alignment horizontal="left"/>
    </xf>
    <xf numFmtId="0" fontId="7" fillId="2" borderId="0" xfId="0" applyFont="1" applyFill="1" applyAlignment="1">
      <alignment horizontal="left"/>
    </xf>
    <xf numFmtId="164" fontId="7" fillId="2" borderId="1" xfId="0" applyNumberFormat="1" applyFont="1" applyFill="1" applyBorder="1"/>
    <xf numFmtId="8" fontId="7" fillId="2" borderId="1" xfId="0" applyNumberFormat="1" applyFont="1" applyFill="1" applyBorder="1" applyAlignment="1">
      <alignment horizontal="left"/>
    </xf>
    <xf numFmtId="10" fontId="7" fillId="2" borderId="1" xfId="0" applyNumberFormat="1" applyFont="1" applyFill="1" applyBorder="1"/>
    <xf numFmtId="164" fontId="7" fillId="2" borderId="3" xfId="0" applyNumberFormat="1" applyFont="1" applyFill="1" applyBorder="1"/>
    <xf numFmtId="0" fontId="7" fillId="2" borderId="2" xfId="0" applyFont="1" applyFill="1" applyBorder="1"/>
    <xf numFmtId="164" fontId="7" fillId="2" borderId="2" xfId="0" applyNumberFormat="1" applyFont="1" applyFill="1" applyBorder="1"/>
    <xf numFmtId="164" fontId="7" fillId="2" borderId="1" xfId="0" applyNumberFormat="1" applyFont="1" applyFill="1" applyBorder="1" applyAlignment="1">
      <alignment horizontal="left"/>
    </xf>
    <xf numFmtId="0" fontId="4" fillId="2" borderId="0" xfId="0" applyFont="1" applyFill="1"/>
    <xf numFmtId="164" fontId="8" fillId="3" borderId="0" xfId="0" applyNumberFormat="1" applyFont="1" applyFill="1" applyAlignment="1" applyProtection="1">
      <alignment horizontal="left"/>
      <protection locked="0"/>
    </xf>
    <xf numFmtId="164" fontId="8" fillId="3" borderId="1" xfId="0" applyNumberFormat="1" applyFont="1" applyFill="1" applyBorder="1" applyAlignment="1" applyProtection="1">
      <alignment horizontal="left"/>
      <protection locked="0"/>
    </xf>
    <xf numFmtId="8" fontId="8" fillId="3" borderId="1" xfId="0" applyNumberFormat="1" applyFont="1" applyFill="1" applyBorder="1" applyAlignment="1" applyProtection="1">
      <alignment horizontal="left"/>
      <protection locked="0"/>
    </xf>
    <xf numFmtId="14" fontId="8" fillId="3" borderId="1" xfId="0" applyNumberFormat="1" applyFont="1" applyFill="1" applyBorder="1" applyAlignment="1" applyProtection="1">
      <alignment horizontal="left"/>
      <protection locked="0"/>
    </xf>
    <xf numFmtId="10" fontId="8" fillId="3" borderId="1" xfId="0" applyNumberFormat="1" applyFont="1" applyFill="1" applyBorder="1" applyAlignment="1" applyProtection="1">
      <alignment horizontal="left"/>
      <protection locked="0"/>
    </xf>
    <xf numFmtId="10" fontId="8" fillId="3" borderId="4" xfId="0" applyNumberFormat="1" applyFont="1" applyFill="1" applyBorder="1" applyProtection="1">
      <protection locked="0"/>
    </xf>
    <xf numFmtId="49" fontId="2" fillId="2" borderId="5" xfId="0" applyNumberFormat="1" applyFont="1" applyFill="1" applyBorder="1"/>
    <xf numFmtId="2" fontId="7" fillId="2" borderId="0" xfId="0" applyNumberFormat="1" applyFont="1" applyFill="1"/>
    <xf numFmtId="0" fontId="12" fillId="2" borderId="0" xfId="0" applyFont="1" applyFill="1" applyAlignment="1">
      <alignment horizontal="center"/>
    </xf>
    <xf numFmtId="0" fontId="11" fillId="2" borderId="0" xfId="0" applyFont="1" applyFill="1" applyAlignment="1">
      <alignment horizontal="center"/>
    </xf>
    <xf numFmtId="0" fontId="2" fillId="2" borderId="0" xfId="0" applyFont="1" applyFill="1" applyAlignment="1">
      <alignment horizontal="center"/>
    </xf>
    <xf numFmtId="0" fontId="16" fillId="2" borderId="0" xfId="0" applyFont="1" applyFill="1" applyAlignment="1">
      <alignment horizont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4" borderId="0" xfId="0" applyFont="1" applyFill="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8391-2360-4851-8452-5F64B7176560}">
  <dimension ref="A1:L91"/>
  <sheetViews>
    <sheetView tabSelected="1" showWhiteSpace="0" view="pageLayout" topLeftCell="A30" zoomScaleNormal="100" workbookViewId="0">
      <selection activeCell="C18" sqref="C18"/>
    </sheetView>
  </sheetViews>
  <sheetFormatPr baseColWidth="10" defaultColWidth="11.5" defaultRowHeight="14" x14ac:dyDescent="0.15"/>
  <cols>
    <col min="1" max="1" width="55.6640625" style="1" bestFit="1" customWidth="1"/>
    <col min="2" max="2" width="15.33203125" style="2" customWidth="1"/>
    <col min="3" max="3" width="7.5" style="1" customWidth="1"/>
    <col min="4" max="4" width="16.33203125" style="2" hidden="1" customWidth="1"/>
    <col min="5" max="5" width="11.1640625" style="1" bestFit="1" customWidth="1"/>
    <col min="6" max="6" width="12.33203125" style="1" customWidth="1"/>
    <col min="7" max="7" width="22" style="1" customWidth="1"/>
    <col min="8" max="8" width="13.1640625" style="1" bestFit="1" customWidth="1"/>
    <col min="9" max="9" width="15.1640625" style="1" bestFit="1" customWidth="1"/>
    <col min="10" max="10" width="15.33203125" style="1" bestFit="1" customWidth="1"/>
    <col min="11" max="11" width="16.5" style="1" bestFit="1" customWidth="1"/>
    <col min="12" max="16384" width="11.5" style="1"/>
  </cols>
  <sheetData>
    <row r="1" spans="1:12" ht="18" x14ac:dyDescent="0.2">
      <c r="A1" s="61" t="s">
        <v>56</v>
      </c>
      <c r="B1" s="62"/>
      <c r="C1" s="62"/>
      <c r="D1" s="62"/>
      <c r="E1" s="62"/>
      <c r="F1" s="62"/>
      <c r="G1" s="62"/>
      <c r="H1" s="3"/>
      <c r="I1" s="3"/>
      <c r="J1" s="3"/>
      <c r="K1" s="3"/>
      <c r="L1" s="3"/>
    </row>
    <row r="2" spans="1:12" x14ac:dyDescent="0.15">
      <c r="A2" s="63" t="s">
        <v>57</v>
      </c>
      <c r="B2" s="63"/>
      <c r="C2" s="63"/>
      <c r="D2" s="63"/>
      <c r="E2" s="63"/>
      <c r="F2" s="63"/>
      <c r="G2" s="63"/>
    </row>
    <row r="3" spans="1:12" x14ac:dyDescent="0.15">
      <c r="A3" s="64" t="s">
        <v>59</v>
      </c>
      <c r="B3" s="64"/>
      <c r="C3" s="64"/>
      <c r="D3" s="64"/>
      <c r="E3" s="64"/>
      <c r="F3" s="64"/>
      <c r="G3" s="64"/>
    </row>
    <row r="4" spans="1:12" x14ac:dyDescent="0.15">
      <c r="A4" s="18"/>
      <c r="B4" s="18"/>
      <c r="C4" s="18"/>
      <c r="D4" s="18"/>
      <c r="E4" s="18"/>
      <c r="F4" s="18"/>
      <c r="G4" s="65" t="s">
        <v>60</v>
      </c>
    </row>
    <row r="5" spans="1:12" x14ac:dyDescent="0.15">
      <c r="A5" s="8" t="s">
        <v>43</v>
      </c>
      <c r="B5" s="39">
        <f>(B10-B16)/B10</f>
        <v>0.97592592592592597</v>
      </c>
      <c r="C5" s="40"/>
      <c r="D5" s="41"/>
      <c r="E5" s="40"/>
      <c r="F5" s="8"/>
      <c r="G5" s="66"/>
    </row>
    <row r="6" spans="1:12" x14ac:dyDescent="0.15">
      <c r="A6" s="8" t="s">
        <v>44</v>
      </c>
      <c r="B6" s="53">
        <v>20000</v>
      </c>
      <c r="C6" s="40"/>
      <c r="D6" s="41"/>
      <c r="E6" s="40"/>
      <c r="F6" s="8"/>
      <c r="G6" s="66"/>
    </row>
    <row r="7" spans="1:12" x14ac:dyDescent="0.15">
      <c r="A7" s="8"/>
      <c r="B7" s="41"/>
      <c r="C7" s="40"/>
      <c r="D7" s="41"/>
      <c r="E7" s="40"/>
      <c r="F7" s="8"/>
      <c r="G7" s="66"/>
    </row>
    <row r="8" spans="1:12" x14ac:dyDescent="0.15">
      <c r="A8" s="19" t="s">
        <v>0</v>
      </c>
      <c r="B8" s="42"/>
      <c r="C8" s="43"/>
      <c r="D8" s="42" t="s">
        <v>34</v>
      </c>
      <c r="E8" s="44"/>
      <c r="F8" s="8"/>
      <c r="G8" s="66"/>
    </row>
    <row r="9" spans="1:12" x14ac:dyDescent="0.15">
      <c r="A9" s="8"/>
      <c r="B9" s="45"/>
      <c r="C9" s="40"/>
      <c r="D9" s="45"/>
      <c r="E9" s="40"/>
      <c r="F9" s="8"/>
      <c r="G9" s="66"/>
    </row>
    <row r="10" spans="1:12" x14ac:dyDescent="0.15">
      <c r="A10" s="8" t="s">
        <v>1</v>
      </c>
      <c r="B10" s="54">
        <v>270000</v>
      </c>
      <c r="C10" s="40"/>
      <c r="D10" s="46">
        <v>363761.14</v>
      </c>
      <c r="E10" s="40"/>
      <c r="F10" s="8"/>
      <c r="G10" s="8"/>
    </row>
    <row r="11" spans="1:12" x14ac:dyDescent="0.15">
      <c r="A11" s="8" t="s">
        <v>2</v>
      </c>
      <c r="B11" s="55">
        <v>9585</v>
      </c>
      <c r="C11" s="40"/>
      <c r="D11" s="46">
        <v>12731.64</v>
      </c>
      <c r="E11" s="40"/>
      <c r="F11" s="8"/>
      <c r="G11" s="8"/>
    </row>
    <row r="12" spans="1:12" x14ac:dyDescent="0.15">
      <c r="A12" s="8" t="s">
        <v>54</v>
      </c>
      <c r="B12" s="25">
        <f>B11/B10</f>
        <v>3.5499999999999997E-2</v>
      </c>
      <c r="C12" s="40"/>
      <c r="D12" s="25">
        <v>3.5000000000000003E-2</v>
      </c>
      <c r="E12" s="40"/>
      <c r="F12" s="8"/>
      <c r="G12" s="8"/>
    </row>
    <row r="13" spans="1:12" x14ac:dyDescent="0.15">
      <c r="A13" s="8"/>
      <c r="B13" s="47"/>
      <c r="C13" s="40"/>
      <c r="D13" s="47"/>
      <c r="E13" s="40"/>
      <c r="F13" s="8"/>
      <c r="G13" s="8"/>
    </row>
    <row r="14" spans="1:12" x14ac:dyDescent="0.15">
      <c r="A14" s="8"/>
      <c r="B14" s="41"/>
      <c r="C14" s="40"/>
      <c r="D14" s="41"/>
      <c r="E14" s="40"/>
      <c r="F14" s="22"/>
      <c r="G14" s="8"/>
    </row>
    <row r="15" spans="1:12" x14ac:dyDescent="0.15">
      <c r="A15" s="19" t="s">
        <v>3</v>
      </c>
      <c r="B15" s="48"/>
      <c r="C15" s="49"/>
      <c r="D15" s="50"/>
      <c r="E15" s="40"/>
      <c r="F15" s="8"/>
      <c r="G15" s="8"/>
    </row>
    <row r="16" spans="1:12" x14ac:dyDescent="0.15">
      <c r="A16" s="8" t="s">
        <v>4</v>
      </c>
      <c r="B16" s="51">
        <f>B6-B17</f>
        <v>6500</v>
      </c>
      <c r="C16" s="40"/>
      <c r="D16" s="51">
        <v>0</v>
      </c>
      <c r="E16" s="40"/>
      <c r="F16" s="8"/>
      <c r="G16" s="8"/>
    </row>
    <row r="17" spans="1:10" x14ac:dyDescent="0.15">
      <c r="A17" s="8" t="s">
        <v>5</v>
      </c>
      <c r="B17" s="51">
        <f>SUM(B35:B36)</f>
        <v>13500</v>
      </c>
      <c r="C17" s="40" t="s">
        <v>6</v>
      </c>
      <c r="D17" s="41"/>
      <c r="E17" s="40"/>
      <c r="F17" s="8"/>
      <c r="G17" s="8"/>
    </row>
    <row r="18" spans="1:10" x14ac:dyDescent="0.15">
      <c r="A18" s="52" t="s">
        <v>55</v>
      </c>
      <c r="B18" s="56">
        <v>45688</v>
      </c>
      <c r="C18" s="58">
        <v>2.4500000000000001E-2</v>
      </c>
      <c r="D18" s="41"/>
      <c r="E18" s="40"/>
      <c r="F18" s="8"/>
      <c r="G18" s="8"/>
    </row>
    <row r="19" spans="1:10" x14ac:dyDescent="0.15">
      <c r="A19" s="8" t="s">
        <v>45</v>
      </c>
      <c r="B19" s="57">
        <v>3.2000000000000001E-2</v>
      </c>
      <c r="C19" s="60"/>
      <c r="D19" s="41"/>
      <c r="E19" s="40"/>
      <c r="F19" s="8"/>
      <c r="G19" s="8"/>
    </row>
    <row r="20" spans="1:10" x14ac:dyDescent="0.15">
      <c r="A20" s="8" t="s">
        <v>18</v>
      </c>
      <c r="B20" s="25">
        <v>0.05</v>
      </c>
      <c r="C20" s="40"/>
      <c r="D20" s="41"/>
      <c r="E20" s="40"/>
      <c r="F20" s="8"/>
      <c r="G20" s="8"/>
    </row>
    <row r="21" spans="1:10" x14ac:dyDescent="0.15">
      <c r="A21" s="8" t="s">
        <v>7</v>
      </c>
      <c r="B21" s="57">
        <v>0.36</v>
      </c>
      <c r="C21" s="40"/>
      <c r="D21" s="41"/>
      <c r="E21" s="40"/>
      <c r="F21" s="8"/>
      <c r="G21" s="8"/>
    </row>
    <row r="22" spans="1:10" x14ac:dyDescent="0.15">
      <c r="A22" s="8" t="s">
        <v>35</v>
      </c>
      <c r="B22" s="51">
        <v>600</v>
      </c>
      <c r="C22" s="41"/>
      <c r="D22" s="41"/>
      <c r="E22" s="40"/>
      <c r="F22" s="8"/>
      <c r="G22" s="8"/>
    </row>
    <row r="23" spans="1:10" x14ac:dyDescent="0.15">
      <c r="A23" s="8"/>
      <c r="B23" s="45"/>
      <c r="C23" s="40"/>
      <c r="D23" s="41"/>
      <c r="E23" s="40"/>
      <c r="F23" s="8"/>
      <c r="G23" s="8"/>
    </row>
    <row r="24" spans="1:10" x14ac:dyDescent="0.15">
      <c r="A24" s="8"/>
      <c r="B24" s="7"/>
      <c r="C24" s="8"/>
      <c r="D24" s="7"/>
      <c r="E24" s="8"/>
      <c r="F24" s="8"/>
      <c r="G24" s="8"/>
    </row>
    <row r="25" spans="1:10" x14ac:dyDescent="0.15">
      <c r="A25" s="8"/>
      <c r="B25" s="7"/>
      <c r="C25" s="8"/>
      <c r="D25" s="7"/>
      <c r="E25" s="8"/>
      <c r="F25" s="8"/>
      <c r="G25" s="8"/>
    </row>
    <row r="26" spans="1:10" x14ac:dyDescent="0.15">
      <c r="A26" s="8"/>
      <c r="B26" s="7"/>
      <c r="C26" s="8"/>
      <c r="D26" s="7"/>
      <c r="E26" s="8"/>
      <c r="F26" s="8"/>
      <c r="G26" s="8"/>
    </row>
    <row r="27" spans="1:10" ht="74.25" customHeight="1" x14ac:dyDescent="0.15">
      <c r="A27" s="67" t="s">
        <v>33</v>
      </c>
      <c r="B27" s="67"/>
      <c r="C27" s="67"/>
      <c r="D27" s="67"/>
      <c r="E27" s="67"/>
      <c r="F27" s="67"/>
      <c r="G27" s="67"/>
      <c r="H27" s="38"/>
      <c r="I27" s="4"/>
      <c r="J27" s="4"/>
    </row>
    <row r="28" spans="1:10" x14ac:dyDescent="0.15">
      <c r="A28" s="8"/>
      <c r="B28" s="7"/>
      <c r="C28" s="8"/>
      <c r="D28" s="7"/>
      <c r="E28" s="8"/>
      <c r="F28" s="8"/>
      <c r="G28" s="8"/>
    </row>
    <row r="29" spans="1:10" x14ac:dyDescent="0.15">
      <c r="A29" s="8"/>
      <c r="B29" s="7"/>
      <c r="C29" s="8"/>
      <c r="D29" s="7"/>
      <c r="E29" s="8"/>
      <c r="F29" s="8"/>
      <c r="G29" s="8"/>
    </row>
    <row r="30" spans="1:10" x14ac:dyDescent="0.15">
      <c r="A30" s="8"/>
      <c r="B30" s="7"/>
      <c r="C30" s="8"/>
      <c r="D30" s="7"/>
      <c r="E30" s="8"/>
      <c r="F30" s="8"/>
      <c r="G30" s="8"/>
    </row>
    <row r="31" spans="1:10" x14ac:dyDescent="0.15">
      <c r="A31" s="19" t="s">
        <v>15</v>
      </c>
      <c r="B31" s="26"/>
      <c r="C31" s="24"/>
      <c r="D31" s="26" t="s">
        <v>36</v>
      </c>
      <c r="E31" s="8"/>
      <c r="F31" s="8"/>
      <c r="G31" s="8"/>
    </row>
    <row r="32" spans="1:10" x14ac:dyDescent="0.15">
      <c r="A32" s="8" t="s">
        <v>1</v>
      </c>
      <c r="B32" s="5">
        <f>B10</f>
        <v>270000</v>
      </c>
      <c r="C32" s="8"/>
      <c r="D32" s="5">
        <f>SUM(B10,D10)</f>
        <v>633761.14</v>
      </c>
      <c r="E32" s="8"/>
      <c r="F32" s="8"/>
      <c r="G32" s="8"/>
    </row>
    <row r="33" spans="1:7" x14ac:dyDescent="0.15">
      <c r="A33" s="8" t="s">
        <v>8</v>
      </c>
      <c r="B33" s="21">
        <f>B16</f>
        <v>6500</v>
      </c>
      <c r="C33" s="8"/>
      <c r="D33" s="21">
        <f>D16</f>
        <v>0</v>
      </c>
      <c r="E33" s="8"/>
      <c r="F33" s="8"/>
      <c r="G33" s="8"/>
    </row>
    <row r="34" spans="1:7" x14ac:dyDescent="0.15">
      <c r="A34" s="8" t="s">
        <v>9</v>
      </c>
      <c r="B34" s="21">
        <f>B32-B33</f>
        <v>263500</v>
      </c>
      <c r="C34" s="8"/>
      <c r="D34" s="21">
        <f>D32-D33</f>
        <v>633761.14</v>
      </c>
      <c r="E34" s="8"/>
      <c r="F34" s="8"/>
      <c r="G34" s="8"/>
    </row>
    <row r="35" spans="1:7" x14ac:dyDescent="0.15">
      <c r="A35" s="8" t="s">
        <v>10</v>
      </c>
      <c r="B35" s="21">
        <f>B32*1.5%</f>
        <v>4050</v>
      </c>
      <c r="C35" s="8"/>
      <c r="D35" s="21">
        <f>D32*1.5%</f>
        <v>9506.4171000000006</v>
      </c>
      <c r="E35" s="8"/>
      <c r="F35" s="8"/>
      <c r="G35" s="8"/>
    </row>
    <row r="36" spans="1:7" x14ac:dyDescent="0.15">
      <c r="A36" s="8" t="s">
        <v>52</v>
      </c>
      <c r="B36" s="21">
        <f>B32*3.5%</f>
        <v>9450</v>
      </c>
      <c r="C36" s="8"/>
      <c r="D36" s="21">
        <f>D32*3.5%</f>
        <v>22181.639900000002</v>
      </c>
      <c r="E36" s="8"/>
      <c r="F36" s="8"/>
      <c r="G36" s="8"/>
    </row>
    <row r="37" spans="1:7" x14ac:dyDescent="0.15">
      <c r="A37" s="8"/>
      <c r="B37" s="7"/>
      <c r="C37" s="8"/>
      <c r="D37" s="7"/>
      <c r="E37" s="8"/>
      <c r="F37" s="8"/>
      <c r="G37" s="8"/>
    </row>
    <row r="38" spans="1:7" x14ac:dyDescent="0.15">
      <c r="A38" s="24" t="s">
        <v>11</v>
      </c>
      <c r="B38" s="23"/>
      <c r="C38" s="24"/>
      <c r="D38" s="23"/>
      <c r="E38" s="8"/>
      <c r="F38" s="8"/>
      <c r="G38" s="8"/>
    </row>
    <row r="39" spans="1:7" x14ac:dyDescent="0.15">
      <c r="A39" s="8" t="s">
        <v>12</v>
      </c>
      <c r="B39" s="45">
        <f>100000*C18</f>
        <v>2450</v>
      </c>
      <c r="C39" s="8"/>
      <c r="D39" s="27">
        <f>100000*C18*2</f>
        <v>4900</v>
      </c>
      <c r="E39" s="8"/>
      <c r="F39" s="8"/>
      <c r="G39" s="8"/>
    </row>
    <row r="40" spans="1:7" x14ac:dyDescent="0.15">
      <c r="A40" s="24" t="s">
        <v>13</v>
      </c>
      <c r="B40" s="48">
        <f>(B32-100000-B33)*B19</f>
        <v>5232</v>
      </c>
      <c r="C40" s="24"/>
      <c r="D40" s="28">
        <f>(D32-200000-D33)*B19</f>
        <v>13880.35648</v>
      </c>
      <c r="E40" s="63" t="s">
        <v>58</v>
      </c>
      <c r="F40" s="63"/>
      <c r="G40" s="8"/>
    </row>
    <row r="41" spans="1:7" x14ac:dyDescent="0.15">
      <c r="A41" s="29" t="s">
        <v>14</v>
      </c>
      <c r="B41" s="5">
        <f>SUM(B39:B40)</f>
        <v>7682</v>
      </c>
      <c r="C41" s="8"/>
      <c r="D41" s="5">
        <f>SUM(D39:D40)</f>
        <v>18780.356480000002</v>
      </c>
      <c r="E41" s="30">
        <f>B41/B34*100</f>
        <v>2.9153700189753322</v>
      </c>
      <c r="F41" s="8" t="s">
        <v>42</v>
      </c>
      <c r="G41" s="8"/>
    </row>
    <row r="42" spans="1:7" x14ac:dyDescent="0.15">
      <c r="A42" s="8"/>
      <c r="B42" s="7"/>
      <c r="C42" s="8"/>
      <c r="D42" s="7"/>
      <c r="E42" s="8"/>
      <c r="F42" s="8"/>
      <c r="G42" s="8"/>
    </row>
    <row r="43" spans="1:7" x14ac:dyDescent="0.15">
      <c r="A43" s="8"/>
      <c r="B43" s="7"/>
      <c r="C43" s="8"/>
      <c r="D43" s="7"/>
      <c r="E43" s="8"/>
      <c r="F43" s="8"/>
      <c r="G43" s="8"/>
    </row>
    <row r="44" spans="1:7" x14ac:dyDescent="0.15">
      <c r="A44" s="19" t="s">
        <v>16</v>
      </c>
      <c r="B44" s="23"/>
      <c r="C44" s="24"/>
      <c r="D44" s="23"/>
      <c r="E44" s="8"/>
      <c r="F44" s="8"/>
      <c r="G44" s="8"/>
    </row>
    <row r="45" spans="1:7" x14ac:dyDescent="0.15">
      <c r="A45" s="8" t="s">
        <v>17</v>
      </c>
      <c r="B45" s="21">
        <f>-B41</f>
        <v>-7682</v>
      </c>
      <c r="C45" s="8"/>
      <c r="D45" s="21">
        <f>-D41</f>
        <v>-18780.356480000002</v>
      </c>
      <c r="E45" s="8"/>
      <c r="F45" s="8"/>
      <c r="G45" s="8"/>
    </row>
    <row r="46" spans="1:7" x14ac:dyDescent="0.15">
      <c r="A46" s="8" t="s">
        <v>53</v>
      </c>
      <c r="B46" s="21">
        <f>-(B32-(B32*6%))*B20</f>
        <v>-12690</v>
      </c>
      <c r="C46" s="8"/>
      <c r="D46" s="21">
        <f>-(D32-(D32*6%))*B20</f>
        <v>-29786.773580000005</v>
      </c>
      <c r="E46" s="8"/>
      <c r="F46" s="8"/>
      <c r="G46" s="8"/>
    </row>
    <row r="47" spans="1:7" x14ac:dyDescent="0.15">
      <c r="A47" s="8" t="s">
        <v>19</v>
      </c>
      <c r="B47" s="21">
        <f>B11</f>
        <v>9585</v>
      </c>
      <c r="C47" s="8"/>
      <c r="D47" s="21">
        <f>SUM(B11,D11)</f>
        <v>22316.639999999999</v>
      </c>
      <c r="E47" s="8"/>
      <c r="F47" s="8"/>
      <c r="G47" s="8"/>
    </row>
    <row r="48" spans="1:7" x14ac:dyDescent="0.15">
      <c r="A48" s="59" t="s">
        <v>20</v>
      </c>
      <c r="B48" s="23">
        <f>SUM(B45:B47)</f>
        <v>-10787</v>
      </c>
      <c r="C48" s="24"/>
      <c r="D48" s="23">
        <f>SUM(D45:D47)</f>
        <v>-26250.490060000011</v>
      </c>
      <c r="E48" s="8"/>
      <c r="F48" s="8"/>
      <c r="G48" s="8"/>
    </row>
    <row r="49" spans="1:7" x14ac:dyDescent="0.15">
      <c r="A49" s="31" t="s">
        <v>46</v>
      </c>
      <c r="B49" s="5">
        <f>B48*B21</f>
        <v>-3883.3199999999997</v>
      </c>
      <c r="C49" s="8"/>
      <c r="D49" s="5">
        <f>D48*B21</f>
        <v>-9450.1764216000029</v>
      </c>
      <c r="E49" s="8"/>
      <c r="F49" s="8"/>
      <c r="G49" s="8"/>
    </row>
    <row r="50" spans="1:7" x14ac:dyDescent="0.15">
      <c r="A50" s="31"/>
      <c r="B50" s="5"/>
      <c r="C50" s="8"/>
      <c r="D50" s="5"/>
      <c r="E50" s="8"/>
      <c r="F50" s="8"/>
      <c r="G50" s="8"/>
    </row>
    <row r="51" spans="1:7" x14ac:dyDescent="0.15">
      <c r="A51" s="8"/>
      <c r="B51" s="7"/>
      <c r="C51" s="8"/>
      <c r="D51" s="7"/>
      <c r="E51" s="8"/>
      <c r="F51" s="8"/>
      <c r="G51" s="8"/>
    </row>
    <row r="52" spans="1:7" x14ac:dyDescent="0.15">
      <c r="A52" s="24" t="s">
        <v>22</v>
      </c>
      <c r="B52" s="23"/>
      <c r="C52" s="24"/>
      <c r="D52" s="23"/>
      <c r="E52" s="8"/>
      <c r="F52" s="8"/>
      <c r="G52" s="8"/>
    </row>
    <row r="53" spans="1:7" x14ac:dyDescent="0.15">
      <c r="A53" s="8" t="s">
        <v>23</v>
      </c>
      <c r="B53" s="21">
        <f>-B41</f>
        <v>-7682</v>
      </c>
      <c r="C53" s="8"/>
      <c r="D53" s="21">
        <f>-D41</f>
        <v>-18780.356480000002</v>
      </c>
      <c r="E53" s="8"/>
      <c r="F53" s="8"/>
      <c r="G53" s="8"/>
    </row>
    <row r="54" spans="1:7" x14ac:dyDescent="0.15">
      <c r="A54" s="8" t="s">
        <v>24</v>
      </c>
      <c r="B54" s="21">
        <f>-B22</f>
        <v>-600</v>
      </c>
      <c r="C54" s="8"/>
      <c r="D54" s="21">
        <f>-B22*2</f>
        <v>-1200</v>
      </c>
      <c r="E54" s="8"/>
      <c r="F54" s="8"/>
      <c r="G54" s="8"/>
    </row>
    <row r="55" spans="1:7" x14ac:dyDescent="0.15">
      <c r="A55" s="8" t="s">
        <v>25</v>
      </c>
      <c r="B55" s="21">
        <f>B47</f>
        <v>9585</v>
      </c>
      <c r="C55" s="8"/>
      <c r="D55" s="21">
        <f>D47</f>
        <v>22316.639999999999</v>
      </c>
      <c r="E55" s="8"/>
      <c r="F55" s="8"/>
      <c r="G55" s="8"/>
    </row>
    <row r="56" spans="1:7" x14ac:dyDescent="0.15">
      <c r="A56" s="8" t="s">
        <v>37</v>
      </c>
      <c r="B56" s="5">
        <f>SUM(B53:B55)</f>
        <v>1303</v>
      </c>
      <c r="C56" s="8"/>
      <c r="D56" s="5">
        <f>SUM(D53:D55)</f>
        <v>2336.2835199999972</v>
      </c>
      <c r="E56" s="8"/>
      <c r="F56" s="8"/>
      <c r="G56" s="8"/>
    </row>
    <row r="57" spans="1:7" x14ac:dyDescent="0.15">
      <c r="A57" s="59" t="s">
        <v>26</v>
      </c>
      <c r="B57" s="20">
        <f>-B49</f>
        <v>3883.3199999999997</v>
      </c>
      <c r="C57" s="24"/>
      <c r="D57" s="37">
        <f>-D49</f>
        <v>9450.1764216000029</v>
      </c>
      <c r="E57" s="8"/>
      <c r="F57" s="8"/>
      <c r="G57" s="8"/>
    </row>
    <row r="58" spans="1:7" x14ac:dyDescent="0.15">
      <c r="A58" s="6" t="s">
        <v>27</v>
      </c>
      <c r="B58" s="5">
        <f>SUM(B56:B57)</f>
        <v>5186.32</v>
      </c>
      <c r="C58" s="8"/>
      <c r="D58" s="5">
        <f>SUM(D56:D57)</f>
        <v>11786.4599416</v>
      </c>
      <c r="E58" s="8"/>
      <c r="F58" s="8"/>
      <c r="G58" s="8"/>
    </row>
    <row r="59" spans="1:7" x14ac:dyDescent="0.15">
      <c r="A59" s="8"/>
      <c r="B59" s="21"/>
      <c r="C59" s="8"/>
      <c r="D59" s="21"/>
      <c r="E59" s="8"/>
      <c r="F59" s="8"/>
      <c r="G59" s="8"/>
    </row>
    <row r="60" spans="1:7" x14ac:dyDescent="0.15">
      <c r="A60" s="8"/>
      <c r="B60" s="7"/>
      <c r="C60" s="8"/>
      <c r="D60" s="7"/>
      <c r="E60" s="8"/>
      <c r="F60" s="8"/>
      <c r="G60" s="8"/>
    </row>
    <row r="61" spans="1:7" x14ac:dyDescent="0.15">
      <c r="A61" s="8"/>
      <c r="B61" s="7"/>
      <c r="C61" s="8"/>
      <c r="D61" s="7"/>
      <c r="E61" s="8"/>
      <c r="F61" s="8"/>
      <c r="G61" s="8"/>
    </row>
    <row r="62" spans="1:7" x14ac:dyDescent="0.15">
      <c r="A62" s="8"/>
      <c r="B62" s="7"/>
      <c r="C62" s="8"/>
      <c r="D62" s="7"/>
      <c r="E62" s="8"/>
      <c r="F62" s="8"/>
      <c r="G62" s="8"/>
    </row>
    <row r="63" spans="1:7" x14ac:dyDescent="0.15">
      <c r="A63" s="24" t="s">
        <v>28</v>
      </c>
      <c r="B63" s="26"/>
      <c r="C63" s="24"/>
      <c r="D63" s="26" t="s">
        <v>36</v>
      </c>
      <c r="E63" s="8"/>
      <c r="F63" s="8"/>
      <c r="G63" s="8"/>
    </row>
    <row r="64" spans="1:7" x14ac:dyDescent="0.15">
      <c r="A64" s="8" t="s">
        <v>29</v>
      </c>
      <c r="B64" s="21">
        <f>(B32-(B32*6%))*40.13%</f>
        <v>101849.94000000002</v>
      </c>
      <c r="C64" s="8"/>
      <c r="D64" s="21">
        <f>(D32-(D32*6%))*40.13%</f>
        <v>239068.64475308004</v>
      </c>
      <c r="E64" s="8"/>
      <c r="F64" s="8"/>
      <c r="G64" s="8"/>
    </row>
    <row r="65" spans="1:7" x14ac:dyDescent="0.15">
      <c r="A65" s="8" t="s">
        <v>21</v>
      </c>
      <c r="B65" s="5">
        <f>B64*B21</f>
        <v>36665.978400000007</v>
      </c>
      <c r="C65" s="8"/>
      <c r="D65" s="5">
        <f>D64*B21</f>
        <v>86064.712111108805</v>
      </c>
      <c r="E65" s="8"/>
      <c r="F65" s="8"/>
      <c r="G65" s="8"/>
    </row>
    <row r="66" spans="1:7" x14ac:dyDescent="0.15">
      <c r="A66" s="8" t="s">
        <v>30</v>
      </c>
      <c r="B66" s="21">
        <f>B47*1.1248</f>
        <v>10781.208000000001</v>
      </c>
      <c r="C66" s="8"/>
      <c r="D66" s="21">
        <f>D47*1.12</f>
        <v>24994.6368</v>
      </c>
      <c r="E66" s="8"/>
      <c r="F66" s="8"/>
      <c r="G66" s="8"/>
    </row>
    <row r="67" spans="1:7" x14ac:dyDescent="0.15">
      <c r="A67" s="8" t="s">
        <v>49</v>
      </c>
      <c r="B67" s="21">
        <f>B66/B12</f>
        <v>303696.00000000006</v>
      </c>
      <c r="C67" s="32" t="s">
        <v>47</v>
      </c>
      <c r="D67" s="21">
        <f>D66/3.5%</f>
        <v>714132.47999999998</v>
      </c>
      <c r="E67" s="22">
        <f>B12</f>
        <v>3.5499999999999997E-2</v>
      </c>
      <c r="F67" s="8" t="s">
        <v>48</v>
      </c>
      <c r="G67" s="8"/>
    </row>
    <row r="68" spans="1:7" x14ac:dyDescent="0.15">
      <c r="A68" s="8" t="s">
        <v>31</v>
      </c>
      <c r="B68" s="5">
        <f>B67-B32</f>
        <v>33696.000000000058</v>
      </c>
      <c r="C68" s="8"/>
      <c r="D68" s="5">
        <f>D67-D32</f>
        <v>80371.339999999967</v>
      </c>
      <c r="E68" s="8"/>
      <c r="F68" s="8"/>
      <c r="G68" s="8"/>
    </row>
    <row r="69" spans="1:7" x14ac:dyDescent="0.15">
      <c r="A69" s="8" t="s">
        <v>38</v>
      </c>
      <c r="B69" s="5">
        <f>10*B56</f>
        <v>13030</v>
      </c>
      <c r="C69" s="8"/>
      <c r="D69" s="5">
        <f>10*D56</f>
        <v>23362.835199999972</v>
      </c>
      <c r="E69" s="8"/>
      <c r="F69" s="8"/>
      <c r="G69" s="8"/>
    </row>
    <row r="70" spans="1:7" x14ac:dyDescent="0.15">
      <c r="A70" s="8"/>
      <c r="B70" s="7"/>
      <c r="C70" s="8"/>
      <c r="D70" s="7"/>
      <c r="E70" s="8"/>
      <c r="F70" s="8"/>
      <c r="G70" s="8"/>
    </row>
    <row r="71" spans="1:7" ht="39.75" customHeight="1" x14ac:dyDescent="0.2">
      <c r="A71" s="33" t="s">
        <v>32</v>
      </c>
      <c r="B71" s="34">
        <f>SUM(B69,B68,B65,B16)</f>
        <v>89891.978400000065</v>
      </c>
      <c r="C71" s="35" t="s">
        <v>39</v>
      </c>
      <c r="D71" s="34">
        <f>SUM(D69,D68,D65,B16)</f>
        <v>196298.88731110876</v>
      </c>
      <c r="E71" s="8" t="s">
        <v>40</v>
      </c>
      <c r="F71" s="8"/>
      <c r="G71" s="8"/>
    </row>
    <row r="72" spans="1:7" x14ac:dyDescent="0.15">
      <c r="A72" s="8"/>
      <c r="B72" s="7"/>
      <c r="C72" s="8"/>
      <c r="D72" s="7"/>
      <c r="E72" s="8"/>
      <c r="F72" s="8"/>
      <c r="G72" s="8"/>
    </row>
    <row r="73" spans="1:7" ht="30" x14ac:dyDescent="0.15">
      <c r="A73" s="33" t="s">
        <v>51</v>
      </c>
      <c r="B73" s="36">
        <f>(B71/SUM(B35:B36,B33))^(0.1)-1</f>
        <v>0.16216848497118375</v>
      </c>
      <c r="C73" s="36"/>
      <c r="D73" s="36">
        <f>(D71/SUM(D35:D36,D33))^(0.1)-1</f>
        <v>0.20005796210928661</v>
      </c>
      <c r="E73" s="8"/>
      <c r="F73" s="8"/>
      <c r="G73" s="8"/>
    </row>
    <row r="74" spans="1:7" x14ac:dyDescent="0.15">
      <c r="A74" s="8"/>
      <c r="B74" s="7"/>
      <c r="C74" s="8"/>
      <c r="D74" s="7"/>
      <c r="E74" s="8"/>
      <c r="F74" s="8"/>
      <c r="G74" s="8"/>
    </row>
    <row r="75" spans="1:7" x14ac:dyDescent="0.15">
      <c r="A75" s="6" t="s">
        <v>50</v>
      </c>
      <c r="B75" s="37">
        <f>B58</f>
        <v>5186.32</v>
      </c>
      <c r="C75" s="8"/>
      <c r="D75" s="7"/>
      <c r="E75" s="8"/>
      <c r="F75" s="8"/>
      <c r="G75" s="8"/>
    </row>
    <row r="76" spans="1:7" x14ac:dyDescent="0.15">
      <c r="A76" s="8" t="s">
        <v>41</v>
      </c>
      <c r="B76" s="7">
        <f>B6</f>
        <v>20000</v>
      </c>
      <c r="C76" s="7"/>
      <c r="D76" s="7"/>
      <c r="E76" s="8"/>
      <c r="F76" s="8"/>
      <c r="G76" s="8"/>
    </row>
    <row r="77" spans="1:7" x14ac:dyDescent="0.15">
      <c r="C77" s="2"/>
    </row>
    <row r="78" spans="1:7" x14ac:dyDescent="0.15">
      <c r="C78" s="2"/>
    </row>
    <row r="79" spans="1:7" x14ac:dyDescent="0.15">
      <c r="A79" s="9"/>
      <c r="B79" s="10"/>
      <c r="C79" s="2"/>
      <c r="D79" s="10"/>
      <c r="F79" s="10"/>
    </row>
    <row r="80" spans="1:7" x14ac:dyDescent="0.15">
      <c r="C80" s="2"/>
    </row>
    <row r="82" spans="1:7" x14ac:dyDescent="0.15">
      <c r="A82" s="9"/>
      <c r="B82" s="10"/>
      <c r="C82" s="11"/>
      <c r="D82" s="11"/>
      <c r="F82" s="10"/>
    </row>
    <row r="83" spans="1:7" x14ac:dyDescent="0.15">
      <c r="A83" s="9"/>
      <c r="B83" s="10"/>
      <c r="C83" s="11"/>
      <c r="D83" s="11"/>
      <c r="F83" s="10"/>
    </row>
    <row r="84" spans="1:7" x14ac:dyDescent="0.15">
      <c r="B84" s="11"/>
      <c r="C84" s="11"/>
      <c r="D84" s="11"/>
      <c r="F84" s="10"/>
    </row>
    <row r="85" spans="1:7" x14ac:dyDescent="0.15">
      <c r="A85" s="9"/>
      <c r="E85" s="12"/>
    </row>
    <row r="86" spans="1:7" x14ac:dyDescent="0.15">
      <c r="E86" s="9"/>
      <c r="F86" s="9"/>
      <c r="G86" s="13"/>
    </row>
    <row r="87" spans="1:7" x14ac:dyDescent="0.15">
      <c r="F87" s="11"/>
      <c r="G87" s="14"/>
    </row>
    <row r="88" spans="1:7" ht="15" x14ac:dyDescent="0.2">
      <c r="C88" s="15"/>
      <c r="F88" s="11"/>
      <c r="G88" s="16"/>
    </row>
    <row r="89" spans="1:7" ht="15" x14ac:dyDescent="0.2">
      <c r="C89" s="15"/>
      <c r="E89" s="2"/>
      <c r="F89" s="11"/>
      <c r="G89" s="14"/>
    </row>
    <row r="90" spans="1:7" x14ac:dyDescent="0.15">
      <c r="F90" s="11"/>
      <c r="G90" s="14"/>
    </row>
    <row r="91" spans="1:7" x14ac:dyDescent="0.15">
      <c r="F91" s="17"/>
      <c r="G91" s="14"/>
    </row>
  </sheetData>
  <sheetProtection algorithmName="SHA-512" hashValue="F4U+4zUosHFAKK6FY13HkE4lhtbnBIeNwWgjYVEBR+suCgha4QmoAxhhA2uCQNu4QmpfVPbRwq7caZDmFGy+eQ==" saltValue="pT5PAD4u7A2LIRwJdRUR6Q==" spinCount="100000" sheet="1" formatCells="0" formatColumns="0" formatRows="0" insertColumns="0" insertRows="0" insertHyperlinks="0" deleteColumns="0" deleteRows="0" selectLockedCells="1" sort="0" autoFilter="0" pivotTables="0"/>
  <mergeCells count="6">
    <mergeCell ref="A1:G1"/>
    <mergeCell ref="E40:F40"/>
    <mergeCell ref="A3:G3"/>
    <mergeCell ref="G4:G9"/>
    <mergeCell ref="A27:G27"/>
    <mergeCell ref="A2:G2"/>
  </mergeCells>
  <phoneticPr fontId="13" type="noConversion"/>
  <pageMargins left="0.7" right="0.7" top="0.78740157499999996" bottom="0.78740157499999996" header="0.3" footer="0.3"/>
  <pageSetup paperSize="9" orientation="landscape" r:id="rId1"/>
  <headerFooter>
    <oddFooter>&amp;CIEB Care V GmbH &amp; Co. KG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4ACD-9794-40D2-8747-BCD7364268FE}">
  <dimension ref="A1"/>
  <sheetViews>
    <sheetView workbookViewId="0"/>
  </sheetViews>
  <sheetFormatPr baseColWidth="10" defaultColWidth="10.83203125" defaultRowHeight="1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Tabelle2</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 IEB Care</dc:creator>
  <cp:lastModifiedBy>Karin Stephan</cp:lastModifiedBy>
  <cp:lastPrinted>2024-10-24T12:53:59Z</cp:lastPrinted>
  <dcterms:created xsi:type="dcterms:W3CDTF">2024-09-22T09:48:31Z</dcterms:created>
  <dcterms:modified xsi:type="dcterms:W3CDTF">2025-02-19T12:31:52Z</dcterms:modified>
</cp:coreProperties>
</file>